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ent\"/>
    </mc:Choice>
  </mc:AlternateContent>
  <bookViews>
    <workbookView xWindow="480" yWindow="75" windowWidth="15135" windowHeight="6345"/>
  </bookViews>
  <sheets>
    <sheet name="brpt_mit_zins" sheetId="1" r:id="rId1"/>
    <sheet name="zins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J5" i="1" l="1"/>
  <c r="K33" i="1"/>
  <c r="J33" i="1"/>
  <c r="B141" i="1" l="1"/>
  <c r="B143" i="1" s="1"/>
  <c r="B144" i="1" s="1"/>
  <c r="B146" i="1" s="1"/>
  <c r="B148" i="1" s="1"/>
  <c r="B136" i="1"/>
  <c r="B129" i="1" l="1"/>
  <c r="B118" i="1"/>
  <c r="B109" i="1" l="1"/>
  <c r="B104" i="1"/>
  <c r="B10" i="1" l="1"/>
  <c r="H16" i="2" l="1"/>
  <c r="G16" i="2"/>
  <c r="F16" i="2"/>
  <c r="E16" i="2"/>
  <c r="D16" i="2"/>
  <c r="C16" i="2"/>
  <c r="B11" i="1"/>
  <c r="F15" i="1"/>
  <c r="F8" i="1"/>
  <c r="F11" i="1" s="1"/>
  <c r="F7" i="1"/>
  <c r="F10" i="1" s="1"/>
  <c r="F16" i="1"/>
  <c r="B65" i="1"/>
  <c r="B82" i="1" s="1"/>
  <c r="B51" i="1"/>
  <c r="G9" i="2"/>
  <c r="F9" i="2"/>
  <c r="E9" i="2"/>
  <c r="D9" i="2"/>
  <c r="C9" i="2"/>
  <c r="H9" i="2"/>
  <c r="E82" i="1"/>
  <c r="B18" i="1"/>
  <c r="B6" i="1" l="1"/>
  <c r="B111" i="1"/>
  <c r="B33" i="1"/>
  <c r="B101" i="1"/>
  <c r="F5" i="1"/>
  <c r="F33" i="1" s="1"/>
  <c r="F37" i="1" s="1"/>
  <c r="F18" i="1"/>
  <c r="B86" i="1"/>
  <c r="B87" i="1"/>
  <c r="B74" i="1"/>
  <c r="B47" i="1"/>
  <c r="F6" i="1" l="1"/>
  <c r="B37" i="1"/>
  <c r="B122" i="1"/>
  <c r="B112" i="1"/>
  <c r="B114" i="1" s="1"/>
  <c r="F13" i="1"/>
  <c r="B59" i="1"/>
  <c r="B69" i="1" s="1"/>
  <c r="B60" i="1"/>
  <c r="B70" i="1" s="1"/>
  <c r="B55" i="1"/>
  <c r="B13" i="1" l="1"/>
  <c r="B123" i="1"/>
  <c r="B125" i="1" s="1"/>
  <c r="F21" i="1"/>
  <c r="F22" i="1"/>
  <c r="B93" i="1"/>
  <c r="B78" i="1"/>
  <c r="B21" i="1" l="1"/>
  <c r="B22" i="1"/>
</calcChain>
</file>

<file path=xl/comments1.xml><?xml version="1.0" encoding="utf-8"?>
<comments xmlns="http://schemas.openxmlformats.org/spreadsheetml/2006/main">
  <authors>
    <author>wschmid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wschmid:</t>
        </r>
        <r>
          <rPr>
            <sz val="8"/>
            <color indexed="81"/>
            <rFont val="Tahoma"/>
            <family val="2"/>
          </rPr>
          <t xml:space="preserve">
Ist identisch mit dem phi aus dem Modell ohne Zinsen!</t>
        </r>
      </text>
    </comment>
    <comment ref="A20" authorId="0" shapeId="0">
      <text>
        <r>
          <rPr>
            <b/>
            <sz val="8"/>
            <color indexed="81"/>
            <rFont val="Tahoma"/>
            <family val="2"/>
          </rPr>
          <t>wschmid:</t>
        </r>
        <r>
          <rPr>
            <sz val="8"/>
            <color indexed="81"/>
            <rFont val="Tahoma"/>
            <family val="2"/>
          </rPr>
          <t xml:space="preserve">
Jetzt versucht man die Zahlungen des Derivats mittels eines geschickt gewählten Portefeuilles nachzubilden.</t>
        </r>
      </text>
    </comment>
  </commentList>
</comments>
</file>

<file path=xl/sharedStrings.xml><?xml version="1.0" encoding="utf-8"?>
<sst xmlns="http://schemas.openxmlformats.org/spreadsheetml/2006/main" count="96" uniqueCount="88">
  <si>
    <t>f_u</t>
  </si>
  <si>
    <t>f_d</t>
  </si>
  <si>
    <t>f</t>
  </si>
  <si>
    <t>S</t>
  </si>
  <si>
    <t>S_u</t>
  </si>
  <si>
    <t>S_d</t>
  </si>
  <si>
    <t>Kontrolle:</t>
  </si>
  <si>
    <t>Berechnung der Martingalwahrscheinlichkeiten q und (1-q)</t>
  </si>
  <si>
    <t>Die eigentliche Rechtfertigung für diese Bewertung folgt aber aus der Replikation des Derivats mit einem geeigneten Portfolio.</t>
  </si>
  <si>
    <t>Anzahl der Aktien im Portefeuille</t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</si>
  <si>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S</t>
    </r>
  </si>
  <si>
    <t>Das Erstaunliche an diesem Portefeuille ist, dass man damit tatsächlich die Zahlungen des Derivats erhält:</t>
  </si>
  <si>
    <t>Dadurch, dass mit dem replizierenden Portefeuille, die zustandsabhängigen Zahlungen des Derivats dupliziert wurden, folgt aus Arbitragefreiheit, dass der Wert des Portefeuilles gleich dem Wert des Derivats ist.</t>
  </si>
  <si>
    <r>
      <t>f_u(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)</t>
    </r>
  </si>
  <si>
    <r>
      <t>f_d(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)</t>
    </r>
  </si>
  <si>
    <t>E(q)</t>
  </si>
  <si>
    <t>f (arbitragefrei)</t>
  </si>
  <si>
    <t>… und dieser Wert entspricht dem mit den Martingalwahrscheinlichkeiten berechneten Erwartungswert der derivativen Zahlungen.</t>
  </si>
  <si>
    <t>Das binomiale Repräsentationstheorem</t>
  </si>
  <si>
    <t>r</t>
  </si>
  <si>
    <t>m gegen oo</t>
  </si>
  <si>
    <t>1. Nur Aktien</t>
  </si>
  <si>
    <t>P_u</t>
  </si>
  <si>
    <t>P_d</t>
  </si>
  <si>
    <t>(f_u*S_d  - f_d * S_u)/(S_u-S_d)</t>
  </si>
  <si>
    <t>... Und zieht man diese Zahlung von phi*S ab, erhält man tatsächlich die Zahlungen des Derivats</t>
  </si>
  <si>
    <r>
      <t>(f_u*S_d  - f_d * S_u)/(S_u-S_d)*(exp(-r*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)</t>
    </r>
  </si>
  <si>
    <t>.... und der Wert dieser konstanten Zahlung ist gleich:</t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</si>
  <si>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S - (f_u*S_d  - f_d * S_u)/(S_u-S_d)*(exp(-r*d)</t>
    </r>
  </si>
  <si>
    <r>
      <t xml:space="preserve">Der Parameter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 xml:space="preserve"> gibt an, wieviele Aktien man kaufen muss; in einem ersten Schritt werden so viele Aktien gekauft, um die Spannweite des Derivats zu erzielen.</t>
    </r>
  </si>
  <si>
    <t>... und in t=1 folgende Einzahlungen aus diesem ersten vorläufigen Portefeuille:</t>
  </si>
  <si>
    <t>P*_u</t>
  </si>
  <si>
    <t>P*_d</t>
  </si>
  <si>
    <t>Hier sind noch nicht ganz die Zahlungen des Derivats getroffen, man sieht nur, dass die Differenz der Differenz der Zahlungen des Derivats entspricht</t>
  </si>
  <si>
    <t>Das bedeutet, es ist noch eine konstante Zahlung in t=1 zu berücksichtigen, und zwar:</t>
  </si>
  <si>
    <t xml:space="preserve">  </t>
  </si>
  <si>
    <t>Part II: Positive Zinsen</t>
  </si>
  <si>
    <t>Damit beträgt der Wert des replizierenden Porteufeille:</t>
  </si>
  <si>
    <t>Die Darstellung über psi * B ist folgendermaßen:</t>
  </si>
  <si>
    <r>
      <rPr>
        <sz val="11"/>
        <color theme="1"/>
        <rFont val="Symbol"/>
        <family val="1"/>
        <charset val="2"/>
      </rPr>
      <t>(f_u*S_d  - f_d * S_u)/(S_u-S_d)</t>
    </r>
    <r>
      <rPr>
        <sz val="11"/>
        <color theme="1"/>
        <rFont val="Calibri"/>
        <family val="2"/>
      </rPr>
      <t xml:space="preserve"> = </t>
    </r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  <scheme val="minor"/>
      </rPr>
      <t>B</t>
    </r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</si>
  <si>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 xml:space="preserve">S_u - </t>
    </r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  <scheme val="minor"/>
      </rPr>
      <t>B</t>
    </r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</si>
  <si>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 xml:space="preserve">S_d - </t>
    </r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  <scheme val="minor"/>
      </rPr>
      <t>B</t>
    </r>
  </si>
  <si>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 xml:space="preserve">S + </t>
    </r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  <scheme val="minor"/>
      </rPr>
      <t>B*exp(-r*d)</t>
    </r>
  </si>
  <si>
    <t>Referenz: Keine Zinsen</t>
  </si>
  <si>
    <t>Zinswirkung, erste Ableitung f nach r</t>
  </si>
  <si>
    <r>
      <t xml:space="preserve">Kauft man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 xml:space="preserve"> Aktien, erhält man in t=0 folgende Auszahlung: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</si>
  <si>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</si>
  <si>
    <r>
      <t>S=q*exp(-r*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t)*S_u+(1-q)*exp(-r*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t)*S_d, also q:= (S*exp(r*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t)-S_d)/(S_u-S_d)</t>
    </r>
  </si>
  <si>
    <t>B_0</t>
  </si>
  <si>
    <t>B</t>
  </si>
  <si>
    <t>Zahl der Verzinsungszeiträume pro Zeiteinheit m</t>
  </si>
  <si>
    <t>Aufzinsung:</t>
  </si>
  <si>
    <t>Abzinsung: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</si>
  <si>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t</t>
    </r>
  </si>
  <si>
    <t>Preisuntergrenze für S</t>
  </si>
  <si>
    <t>Preisobergrenze für S</t>
  </si>
  <si>
    <t>Mit diesem Wert kann tatsächlich f_u und f_d aus S_u und S_d konstruiert werden (siehe Zeilen 21 und 22).</t>
  </si>
  <si>
    <t>Replizierendes Portefeuille</t>
  </si>
  <si>
    <t xml:space="preserve">Wie hoch ist die Martingalwahrscheinlichkeit q, die aus S ein Martingal macht?: </t>
  </si>
  <si>
    <t>q</t>
  </si>
  <si>
    <t>Mit den Martingalw. q und (1-q) erhält man den Erwartungswert E(q) der abdiskontierten Zahlungen für das Derivat f:</t>
  </si>
  <si>
    <t>Approximation: Angenommen, r steigt um dr = 0,0001, wie vändert sich der Wert des Derivats?.</t>
  </si>
  <si>
    <t>Zinswirkung, erste Ableitung q nach r</t>
  </si>
  <si>
    <t>dq/dr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</si>
  <si>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r</t>
    </r>
  </si>
  <si>
    <r>
      <t>r+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r</t>
    </r>
  </si>
  <si>
    <r>
      <t>q(r+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r)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</si>
  <si>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q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</si>
  <si>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q/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r</t>
    </r>
  </si>
  <si>
    <t>Erste Ableitung nach dem Wert des Derivats</t>
  </si>
  <si>
    <t>df/dr</t>
  </si>
  <si>
    <t>Auch hier lässt sich über eine Approximation die Korrektheit der Rechnung überprüfen:</t>
  </si>
  <si>
    <r>
      <t>f(r+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r)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</si>
  <si>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f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</si>
  <si>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f/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r</t>
    </r>
  </si>
  <si>
    <t>Ist die Zinswirkung positiv oder negativ?</t>
  </si>
  <si>
    <t>S_d*f_u - f_d*S_u</t>
  </si>
  <si>
    <t>(&gt; 0 =&gt; positiv; &lt;0 negativ)</t>
  </si>
  <si>
    <t>Wirkung der Änderung des Preises des Underlying</t>
  </si>
  <si>
    <t>Wie ändert sich die Wahrscheinlichkeit q?</t>
  </si>
  <si>
    <t>df/dS</t>
  </si>
  <si>
    <t>Approximation: Änderung des Aktienkurses, wie ist die Auswirkung auf den Wert des Derivats?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</si>
  <si>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</t>
    </r>
  </si>
  <si>
    <r>
      <t>S+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</t>
    </r>
  </si>
  <si>
    <r>
      <t>q(S+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S)</t>
    </r>
  </si>
  <si>
    <r>
      <t>f(S+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</si>
  <si>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f/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</t>
    </r>
  </si>
  <si>
    <t>Zinswirkung (bei konstantem 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</si>
</sst>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4"/>
      <color theme="1"/>
      <name val="Symbol"/>
      <family val="1"/>
      <charset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4" fillId="0" borderId="0" xfId="0" applyFont="1"/>
    <xf numFmtId="0" fontId="5" fillId="0" borderId="0" xfId="0" applyFont="1"/>
    <xf numFmtId="10" fontId="0" fillId="0" borderId="0" xfId="1" applyNumberFormat="1" applyFont="1"/>
    <xf numFmtId="1" fontId="0" fillId="0" borderId="0" xfId="1" applyNumberFormat="1" applyFont="1"/>
    <xf numFmtId="164" fontId="0" fillId="0" borderId="0" xfId="0" applyNumberForma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3" fillId="0" borderId="0" xfId="0" applyFont="1"/>
    <xf numFmtId="0" fontId="5" fillId="3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0" xfId="0" quotePrefix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8"/>
  <sheetViews>
    <sheetView tabSelected="1" topLeftCell="A2" zoomScale="90" zoomScaleNormal="90" workbookViewId="0">
      <selection activeCell="I13" sqref="I13"/>
    </sheetView>
  </sheetViews>
  <sheetFormatPr baseColWidth="10" defaultRowHeight="15" x14ac:dyDescent="0.25"/>
  <cols>
    <col min="1" max="1" width="30.7109375" customWidth="1"/>
    <col min="2" max="2" width="18.42578125" customWidth="1"/>
    <col min="10" max="10" width="13" bestFit="1" customWidth="1"/>
  </cols>
  <sheetData>
    <row r="1" spans="1:10" x14ac:dyDescent="0.25">
      <c r="A1" s="5" t="s">
        <v>18</v>
      </c>
    </row>
    <row r="2" spans="1:10" x14ac:dyDescent="0.25">
      <c r="A2" s="5"/>
    </row>
    <row r="3" spans="1:10" x14ac:dyDescent="0.25">
      <c r="A3" s="5" t="s">
        <v>36</v>
      </c>
      <c r="F3" t="s">
        <v>43</v>
      </c>
    </row>
    <row r="4" spans="1:10" x14ac:dyDescent="0.25">
      <c r="B4" t="s">
        <v>35</v>
      </c>
    </row>
    <row r="5" spans="1:10" x14ac:dyDescent="0.25">
      <c r="A5" t="s">
        <v>3</v>
      </c>
      <c r="B5" s="15">
        <v>94</v>
      </c>
      <c r="F5" s="10">
        <f>+B5</f>
        <v>94</v>
      </c>
      <c r="J5">
        <f>94*EXP(0.03)</f>
        <v>96.862726191630586</v>
      </c>
    </row>
    <row r="6" spans="1:10" x14ac:dyDescent="0.25">
      <c r="B6" s="4" t="str">
        <f>+IF(AND(B5&lt;B7*EXP(-B30*B31),B5&gt;B8*EXP(-B30*B31)),"","ACHTUNG: S sollte zwischen S_u*exp(-r*dt) und S_d*exp(-r*dt) liegen!")</f>
        <v/>
      </c>
      <c r="F6" s="11" t="str">
        <f>+IF(AND(F5&lt;F7,F5&gt;F8),"","ACHTUNG: S sollte zwischen S_u und S_d liegen!")</f>
        <v/>
      </c>
    </row>
    <row r="7" spans="1:10" x14ac:dyDescent="0.25">
      <c r="A7" t="s">
        <v>4</v>
      </c>
      <c r="B7" s="15">
        <v>100</v>
      </c>
      <c r="F7" s="10">
        <f>+B7</f>
        <v>100</v>
      </c>
    </row>
    <row r="8" spans="1:10" x14ac:dyDescent="0.25">
      <c r="A8" t="s">
        <v>5</v>
      </c>
      <c r="B8" s="15">
        <v>90</v>
      </c>
      <c r="F8" s="10">
        <f>+B8</f>
        <v>90</v>
      </c>
    </row>
    <row r="9" spans="1:10" x14ac:dyDescent="0.25">
      <c r="B9" s="15"/>
      <c r="F9" s="10"/>
    </row>
    <row r="10" spans="1:10" x14ac:dyDescent="0.25">
      <c r="A10" t="s">
        <v>55</v>
      </c>
      <c r="B10" s="16">
        <f>+B7*EXP(-$B$30*$B$31)</f>
        <v>97.044553354850819</v>
      </c>
      <c r="C10" s="17"/>
      <c r="D10" s="17"/>
      <c r="E10" s="17"/>
      <c r="F10" s="17">
        <f>+F7*EXP(-$F$30*$F$31)</f>
        <v>100</v>
      </c>
    </row>
    <row r="11" spans="1:10" x14ac:dyDescent="0.25">
      <c r="A11" t="s">
        <v>54</v>
      </c>
      <c r="B11" s="16">
        <f>+B8*EXP(-$B$30*$B$31)</f>
        <v>87.34009801936574</v>
      </c>
      <c r="C11" s="17"/>
      <c r="D11" s="17"/>
      <c r="E11" s="17"/>
      <c r="F11" s="17">
        <f>+F8*EXP(-$F$30*$F$31)</f>
        <v>90</v>
      </c>
    </row>
    <row r="12" spans="1:10" x14ac:dyDescent="0.25">
      <c r="B12" s="13"/>
      <c r="F12" s="10"/>
    </row>
    <row r="13" spans="1:10" x14ac:dyDescent="0.25">
      <c r="A13" t="s">
        <v>2</v>
      </c>
      <c r="B13" s="16">
        <f>+B37</f>
        <v>5.3279215845074122</v>
      </c>
      <c r="C13" s="17"/>
      <c r="D13" s="17"/>
      <c r="E13" s="17"/>
      <c r="F13" s="17">
        <f>+F37</f>
        <v>3.2</v>
      </c>
    </row>
    <row r="14" spans="1:10" x14ac:dyDescent="0.25">
      <c r="B14" s="15"/>
      <c r="F14" s="10"/>
    </row>
    <row r="15" spans="1:10" x14ac:dyDescent="0.25">
      <c r="A15" t="s">
        <v>0</v>
      </c>
      <c r="B15" s="15">
        <v>8</v>
      </c>
      <c r="F15" s="10">
        <f>+B15</f>
        <v>8</v>
      </c>
    </row>
    <row r="16" spans="1:10" x14ac:dyDescent="0.25">
      <c r="A16" t="s">
        <v>1</v>
      </c>
      <c r="B16" s="15">
        <v>0</v>
      </c>
      <c r="F16" s="10">
        <f>+B16</f>
        <v>0</v>
      </c>
    </row>
    <row r="18" spans="1:6" ht="18" x14ac:dyDescent="0.25">
      <c r="A18" s="12" t="s">
        <v>2</v>
      </c>
      <c r="B18" s="1">
        <f>+(B15-B16)/(B7-B8)</f>
        <v>0.8</v>
      </c>
      <c r="F18" s="1">
        <f>+(F15-F16)/(F7-F8)</f>
        <v>0.8</v>
      </c>
    </row>
    <row r="20" spans="1:6" x14ac:dyDescent="0.25">
      <c r="A20" t="s">
        <v>6</v>
      </c>
    </row>
    <row r="21" spans="1:6" x14ac:dyDescent="0.25">
      <c r="A21" t="s">
        <v>13</v>
      </c>
      <c r="B21" s="2">
        <f>+B13*EXP(B30*B31)+B18*(B7-B5*EXP(B30*B31))</f>
        <v>8</v>
      </c>
      <c r="F21" s="2">
        <f>+F13*EXP(F30*F31)+F18*(F7-F5*EXP(F30*F31))</f>
        <v>8</v>
      </c>
    </row>
    <row r="22" spans="1:6" x14ac:dyDescent="0.25">
      <c r="A22" t="s">
        <v>14</v>
      </c>
      <c r="B22" s="2">
        <f>+B13*EXP(B30*B31)+B18*(B8-B5*EXP(B30*B31))</f>
        <v>0</v>
      </c>
      <c r="F22" s="2">
        <f>+F13*EXP(F30*F31)+F18*(F8-F5*EXP(F30*F31))</f>
        <v>0</v>
      </c>
    </row>
    <row r="24" spans="1:6" x14ac:dyDescent="0.25">
      <c r="A24" s="13" t="s">
        <v>7</v>
      </c>
    </row>
    <row r="26" spans="1:6" x14ac:dyDescent="0.25">
      <c r="A26" t="s">
        <v>58</v>
      </c>
    </row>
    <row r="28" spans="1:6" x14ac:dyDescent="0.25">
      <c r="A28" t="s">
        <v>47</v>
      </c>
    </row>
    <row r="30" spans="1:6" x14ac:dyDescent="0.25">
      <c r="A30" t="s">
        <v>19</v>
      </c>
      <c r="B30" s="15">
        <v>0.03</v>
      </c>
      <c r="F30">
        <v>0</v>
      </c>
    </row>
    <row r="31" spans="1:6" x14ac:dyDescent="0.25">
      <c r="A31" t="s">
        <v>46</v>
      </c>
      <c r="B31" s="15">
        <v>1</v>
      </c>
      <c r="F31">
        <v>1</v>
      </c>
    </row>
    <row r="33" spans="1:11" x14ac:dyDescent="0.25">
      <c r="A33" t="s">
        <v>59</v>
      </c>
      <c r="B33" s="1">
        <f>+(B5*EXP(B30*B31)-B8)/(B7-B8)</f>
        <v>0.68627261916305859</v>
      </c>
      <c r="F33" s="1">
        <f>+(F5*EXP(F30*F31)-F8)/(F7-F8)</f>
        <v>0.4</v>
      </c>
      <c r="J33">
        <f>100*(0.68628)+90*(1-0.68628)</f>
        <v>96.862799999999993</v>
      </c>
      <c r="K33">
        <f>100*B33+90*(1-B33)</f>
        <v>96.862726191630586</v>
      </c>
    </row>
    <row r="35" spans="1:11" x14ac:dyDescent="0.25">
      <c r="A35" t="s">
        <v>60</v>
      </c>
    </row>
    <row r="37" spans="1:11" x14ac:dyDescent="0.25">
      <c r="A37" t="s">
        <v>15</v>
      </c>
      <c r="B37" s="3">
        <f>+EXP(-B30*B31)*(B33*B15+(1-B33)*B16)</f>
        <v>5.3279215845074122</v>
      </c>
      <c r="F37" s="3">
        <f>+F33*F15*EXP(-F30*F31)+(1-F33)*F16*EXP(-F30*F31)</f>
        <v>3.2</v>
      </c>
    </row>
    <row r="39" spans="1:11" x14ac:dyDescent="0.25">
      <c r="A39" t="s">
        <v>56</v>
      </c>
    </row>
    <row r="41" spans="1:11" x14ac:dyDescent="0.25">
      <c r="A41" s="5" t="s">
        <v>57</v>
      </c>
    </row>
    <row r="43" spans="1:11" x14ac:dyDescent="0.25">
      <c r="A43" t="s">
        <v>8</v>
      </c>
    </row>
    <row r="44" spans="1:11" x14ac:dyDescent="0.25">
      <c r="A44" t="s">
        <v>29</v>
      </c>
    </row>
    <row r="47" spans="1:11" x14ac:dyDescent="0.25">
      <c r="A47" t="s">
        <v>9</v>
      </c>
      <c r="B47">
        <f>+B18</f>
        <v>0.8</v>
      </c>
    </row>
    <row r="49" spans="1:2" x14ac:dyDescent="0.25">
      <c r="A49" t="s">
        <v>21</v>
      </c>
    </row>
    <row r="51" spans="1:2" x14ac:dyDescent="0.25">
      <c r="A51" s="9" t="s">
        <v>2</v>
      </c>
      <c r="B51">
        <f>+(B15-B16)/(B7-B8)</f>
        <v>0.8</v>
      </c>
    </row>
    <row r="52" spans="1:2" x14ac:dyDescent="0.25">
      <c r="A52" s="9"/>
    </row>
    <row r="53" spans="1:2" x14ac:dyDescent="0.25">
      <c r="A53" t="s">
        <v>45</v>
      </c>
    </row>
    <row r="55" spans="1:2" x14ac:dyDescent="0.25">
      <c r="A55" t="s">
        <v>10</v>
      </c>
      <c r="B55">
        <f>+B47*B5</f>
        <v>75.2</v>
      </c>
    </row>
    <row r="57" spans="1:2" x14ac:dyDescent="0.25">
      <c r="A57" t="s">
        <v>30</v>
      </c>
    </row>
    <row r="59" spans="1:2" x14ac:dyDescent="0.25">
      <c r="A59" t="s">
        <v>31</v>
      </c>
      <c r="B59">
        <f>+B47*B7</f>
        <v>80</v>
      </c>
    </row>
    <row r="60" spans="1:2" x14ac:dyDescent="0.25">
      <c r="A60" t="s">
        <v>32</v>
      </c>
      <c r="B60">
        <f>+B47*B8</f>
        <v>72</v>
      </c>
    </row>
    <row r="62" spans="1:2" x14ac:dyDescent="0.25">
      <c r="A62" t="s">
        <v>33</v>
      </c>
    </row>
    <row r="63" spans="1:2" x14ac:dyDescent="0.25">
      <c r="A63" t="s">
        <v>34</v>
      </c>
    </row>
    <row r="65" spans="1:2" x14ac:dyDescent="0.25">
      <c r="A65" t="s">
        <v>24</v>
      </c>
      <c r="B65">
        <f>+(B15*B8-B16*B7)/(B7-B8)</f>
        <v>72</v>
      </c>
    </row>
    <row r="67" spans="1:2" x14ac:dyDescent="0.25">
      <c r="A67" t="s">
        <v>25</v>
      </c>
    </row>
    <row r="69" spans="1:2" x14ac:dyDescent="0.25">
      <c r="A69" t="s">
        <v>22</v>
      </c>
      <c r="B69">
        <f>+B59-B65</f>
        <v>8</v>
      </c>
    </row>
    <row r="70" spans="1:2" x14ac:dyDescent="0.25">
      <c r="A70" t="s">
        <v>23</v>
      </c>
      <c r="B70">
        <f>+B60-B65</f>
        <v>0</v>
      </c>
    </row>
    <row r="72" spans="1:2" x14ac:dyDescent="0.25">
      <c r="A72" t="s">
        <v>27</v>
      </c>
    </row>
    <row r="74" spans="1:2" x14ac:dyDescent="0.25">
      <c r="A74" t="s">
        <v>26</v>
      </c>
      <c r="B74">
        <f>+B65*EXP(-B30*B31)</f>
        <v>69.872078415492581</v>
      </c>
    </row>
    <row r="76" spans="1:2" x14ac:dyDescent="0.25">
      <c r="A76" t="s">
        <v>37</v>
      </c>
    </row>
    <row r="78" spans="1:2" x14ac:dyDescent="0.25">
      <c r="A78" t="s">
        <v>28</v>
      </c>
      <c r="B78" s="13">
        <f>+B55-B74</f>
        <v>5.3279215845074219</v>
      </c>
    </row>
    <row r="80" spans="1:2" x14ac:dyDescent="0.25">
      <c r="A80" t="s">
        <v>38</v>
      </c>
    </row>
    <row r="82" spans="1:5" x14ac:dyDescent="0.25">
      <c r="A82" t="s">
        <v>39</v>
      </c>
      <c r="B82">
        <f>+B65</f>
        <v>72</v>
      </c>
      <c r="E82">
        <f>+(10000-1000)*EXP(-B30*B31)</f>
        <v>8734.0098019365741</v>
      </c>
    </row>
    <row r="84" spans="1:5" x14ac:dyDescent="0.25">
      <c r="A84" t="s">
        <v>11</v>
      </c>
    </row>
    <row r="86" spans="1:5" x14ac:dyDescent="0.25">
      <c r="A86" t="s">
        <v>40</v>
      </c>
      <c r="B86">
        <f>+B51*B7-B82</f>
        <v>8</v>
      </c>
    </row>
    <row r="87" spans="1:5" x14ac:dyDescent="0.25">
      <c r="A87" t="s">
        <v>41</v>
      </c>
      <c r="B87">
        <f>+B51*B8-B82</f>
        <v>0</v>
      </c>
    </row>
    <row r="89" spans="1:5" x14ac:dyDescent="0.25">
      <c r="A89" t="s">
        <v>12</v>
      </c>
    </row>
    <row r="91" spans="1:5" x14ac:dyDescent="0.25">
      <c r="A91" t="s">
        <v>16</v>
      </c>
    </row>
    <row r="93" spans="1:5" x14ac:dyDescent="0.25">
      <c r="A93" t="s">
        <v>42</v>
      </c>
      <c r="B93">
        <f>+B55-B82*EXP(-B30*B31)</f>
        <v>5.3279215845074219</v>
      </c>
    </row>
    <row r="95" spans="1:5" x14ac:dyDescent="0.25">
      <c r="A95" t="s">
        <v>17</v>
      </c>
    </row>
    <row r="97" spans="1:2" x14ac:dyDescent="0.25">
      <c r="A97" s="5" t="s">
        <v>87</v>
      </c>
    </row>
    <row r="99" spans="1:2" x14ac:dyDescent="0.25">
      <c r="A99" t="s">
        <v>62</v>
      </c>
    </row>
    <row r="101" spans="1:2" x14ac:dyDescent="0.25">
      <c r="A101" t="s">
        <v>63</v>
      </c>
      <c r="B101" s="18">
        <f>+B31*B5*EXP(B30*B31)/(B7-B8)</f>
        <v>9.6862726191630593</v>
      </c>
    </row>
    <row r="104" spans="1:2" x14ac:dyDescent="0.25">
      <c r="A104" t="s">
        <v>44</v>
      </c>
      <c r="B104">
        <f>B31*EXP(-B30*B31)/(B7-B8)*(B8*B15-B7*B16)</f>
        <v>69.872078415492595</v>
      </c>
    </row>
    <row r="106" spans="1:2" x14ac:dyDescent="0.25">
      <c r="A106" t="s">
        <v>61</v>
      </c>
    </row>
    <row r="108" spans="1:2" x14ac:dyDescent="0.25">
      <c r="A108" t="s">
        <v>64</v>
      </c>
      <c r="B108">
        <v>1.0000000000000001E-5</v>
      </c>
    </row>
    <row r="109" spans="1:2" x14ac:dyDescent="0.25">
      <c r="A109" t="s">
        <v>65</v>
      </c>
      <c r="B109">
        <f>+B30+B108</f>
        <v>3.0009999999999998E-2</v>
      </c>
    </row>
    <row r="111" spans="1:2" x14ac:dyDescent="0.25">
      <c r="A111" t="s">
        <v>66</v>
      </c>
      <c r="B111">
        <f>+(B5*EXP(B109*B31)-B8)/(B7-B8)</f>
        <v>0.68636948237356421</v>
      </c>
    </row>
    <row r="112" spans="1:2" x14ac:dyDescent="0.25">
      <c r="A112" t="s">
        <v>67</v>
      </c>
      <c r="B112">
        <f>+B111-B33</f>
        <v>9.6863210505615527E-5</v>
      </c>
    </row>
    <row r="114" spans="1:2" x14ac:dyDescent="0.25">
      <c r="A114" t="s">
        <v>68</v>
      </c>
      <c r="B114" s="18">
        <f>+B112/B108</f>
        <v>9.6863210505615527</v>
      </c>
    </row>
    <row r="116" spans="1:2" x14ac:dyDescent="0.25">
      <c r="A116" t="s">
        <v>69</v>
      </c>
    </row>
    <row r="118" spans="1:2" x14ac:dyDescent="0.25">
      <c r="A118" t="s">
        <v>70</v>
      </c>
      <c r="B118" s="13">
        <f>+B31*EXP(-B30*B31)/(B7-B8)*(B8*B15-B16*B7)</f>
        <v>69.872078415492595</v>
      </c>
    </row>
    <row r="120" spans="1:2" x14ac:dyDescent="0.25">
      <c r="A120" t="s">
        <v>71</v>
      </c>
    </row>
    <row r="122" spans="1:2" x14ac:dyDescent="0.25">
      <c r="A122" t="s">
        <v>72</v>
      </c>
      <c r="B122">
        <f>+EXP(-B109*B31)*(B111*B15+(1-B111)*B16)</f>
        <v>5.3286203017979652</v>
      </c>
    </row>
    <row r="123" spans="1:2" x14ac:dyDescent="0.25">
      <c r="A123" t="s">
        <v>73</v>
      </c>
      <c r="B123">
        <f>+B122-B37</f>
        <v>6.9871729055304144E-4</v>
      </c>
    </row>
    <row r="125" spans="1:2" x14ac:dyDescent="0.25">
      <c r="A125" t="s">
        <v>74</v>
      </c>
      <c r="B125" s="13">
        <f>+B123/B108</f>
        <v>69.871729055304144</v>
      </c>
    </row>
    <row r="127" spans="1:2" x14ac:dyDescent="0.25">
      <c r="A127" t="s">
        <v>75</v>
      </c>
    </row>
    <row r="129" spans="1:2" x14ac:dyDescent="0.25">
      <c r="A129" s="19" t="s">
        <v>76</v>
      </c>
      <c r="B129">
        <f>+(B8*B15-B16*B7)</f>
        <v>720</v>
      </c>
    </row>
    <row r="130" spans="1:2" x14ac:dyDescent="0.25">
      <c r="A130" t="s">
        <v>77</v>
      </c>
    </row>
    <row r="132" spans="1:2" x14ac:dyDescent="0.25">
      <c r="A132" s="5" t="s">
        <v>78</v>
      </c>
    </row>
    <row r="134" spans="1:2" x14ac:dyDescent="0.25">
      <c r="A134" t="s">
        <v>79</v>
      </c>
    </row>
    <row r="136" spans="1:2" x14ac:dyDescent="0.25">
      <c r="A136" t="s">
        <v>80</v>
      </c>
      <c r="B136" s="18">
        <f>+(B15-B16)/(B7-B8)</f>
        <v>0.8</v>
      </c>
    </row>
    <row r="138" spans="1:2" x14ac:dyDescent="0.25">
      <c r="A138" t="s">
        <v>81</v>
      </c>
    </row>
    <row r="140" spans="1:2" x14ac:dyDescent="0.25">
      <c r="A140" t="s">
        <v>82</v>
      </c>
      <c r="B140">
        <v>0.2</v>
      </c>
    </row>
    <row r="141" spans="1:2" x14ac:dyDescent="0.25">
      <c r="A141" t="s">
        <v>83</v>
      </c>
      <c r="B141">
        <f>+B5+B140</f>
        <v>94.2</v>
      </c>
    </row>
    <row r="143" spans="1:2" x14ac:dyDescent="0.25">
      <c r="A143" t="s">
        <v>84</v>
      </c>
      <c r="B143">
        <f>+(B141*EXP(B30*B31)-B8)/(B7-B8)</f>
        <v>0.70688170984212917</v>
      </c>
    </row>
    <row r="144" spans="1:2" x14ac:dyDescent="0.25">
      <c r="A144" t="s">
        <v>85</v>
      </c>
      <c r="B144">
        <f>+EXP(-B30*B31)*(B143*B15+(1-B143)*B16)</f>
        <v>5.4879215845074141</v>
      </c>
    </row>
    <row r="146" spans="1:2" x14ac:dyDescent="0.25">
      <c r="A146" t="s">
        <v>73</v>
      </c>
      <c r="B146">
        <f>+B144-B13</f>
        <v>0.16000000000000192</v>
      </c>
    </row>
    <row r="148" spans="1:2" x14ac:dyDescent="0.25">
      <c r="A148" t="s">
        <v>86</v>
      </c>
      <c r="B148" s="18">
        <f>+B146/B140</f>
        <v>0.80000000000000959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>
      <selection activeCell="L7" sqref="K7:L7"/>
    </sheetView>
  </sheetViews>
  <sheetFormatPr baseColWidth="10" defaultRowHeight="15" x14ac:dyDescent="0.25"/>
  <sheetData>
    <row r="2" spans="2:8" x14ac:dyDescent="0.25">
      <c r="B2" s="14" t="s">
        <v>51</v>
      </c>
    </row>
    <row r="4" spans="2:8" x14ac:dyDescent="0.25">
      <c r="B4" s="13" t="s">
        <v>48</v>
      </c>
      <c r="C4">
        <v>100</v>
      </c>
    </row>
    <row r="5" spans="2:8" x14ac:dyDescent="0.25">
      <c r="B5" s="13" t="s">
        <v>19</v>
      </c>
      <c r="C5" s="6">
        <v>0.03</v>
      </c>
    </row>
    <row r="6" spans="2:8" x14ac:dyDescent="0.25">
      <c r="B6" s="13" t="s">
        <v>53</v>
      </c>
      <c r="C6" s="7">
        <v>2</v>
      </c>
    </row>
    <row r="7" spans="2:8" x14ac:dyDescent="0.25">
      <c r="B7" s="13"/>
    </row>
    <row r="8" spans="2:8" x14ac:dyDescent="0.25">
      <c r="B8" s="13" t="s">
        <v>50</v>
      </c>
      <c r="C8">
        <v>1</v>
      </c>
      <c r="D8">
        <v>2</v>
      </c>
      <c r="E8">
        <v>4</v>
      </c>
      <c r="F8">
        <v>12</v>
      </c>
      <c r="G8">
        <v>360</v>
      </c>
      <c r="H8" t="s">
        <v>20</v>
      </c>
    </row>
    <row r="9" spans="2:8" x14ac:dyDescent="0.25">
      <c r="B9" s="13" t="s">
        <v>49</v>
      </c>
      <c r="C9" s="8">
        <f>+$C4*(1+$C$5/C8)^$C$6</f>
        <v>106.08999999999999</v>
      </c>
      <c r="D9" s="8">
        <f>+$C4*(1+$C$5/D8)^($C$6*D8)</f>
        <v>106.13635506249994</v>
      </c>
      <c r="E9" s="8">
        <f>+$C4*(1+$C$5/E8)^($C$6*E8)</f>
        <v>106.1598847818276</v>
      </c>
      <c r="F9" s="8">
        <f>+$C4*(1+$C$5/F8)^($C$6*F8)</f>
        <v>106.17570442619777</v>
      </c>
      <c r="G9" s="8">
        <f>+$C4*(1+$C$5/G8)^($C$6*G8)</f>
        <v>106.18338921048192</v>
      </c>
      <c r="H9" s="8">
        <f>+$C4*EXP($C$5*$C$6)</f>
        <v>106.18365465453596</v>
      </c>
    </row>
    <row r="11" spans="2:8" x14ac:dyDescent="0.25">
      <c r="B11" s="14" t="s">
        <v>52</v>
      </c>
    </row>
    <row r="13" spans="2:8" x14ac:dyDescent="0.25">
      <c r="B13" s="13" t="s">
        <v>49</v>
      </c>
      <c r="C13">
        <v>100</v>
      </c>
    </row>
    <row r="14" spans="2:8" x14ac:dyDescent="0.25">
      <c r="B14" s="13"/>
    </row>
    <row r="15" spans="2:8" x14ac:dyDescent="0.25">
      <c r="B15" s="13" t="s">
        <v>50</v>
      </c>
      <c r="C15">
        <v>1</v>
      </c>
      <c r="D15">
        <v>2</v>
      </c>
      <c r="E15">
        <v>4</v>
      </c>
      <c r="F15">
        <v>12</v>
      </c>
      <c r="G15">
        <v>360</v>
      </c>
      <c r="H15" t="s">
        <v>20</v>
      </c>
    </row>
    <row r="16" spans="2:8" x14ac:dyDescent="0.25">
      <c r="B16" s="13" t="s">
        <v>48</v>
      </c>
      <c r="C16" s="8">
        <f>+$C13/((1+$C$5/C15)^$C$6)</f>
        <v>94.259590913375433</v>
      </c>
      <c r="D16" s="8">
        <f>+$C13/((1+$C$5/D15)^($C$6*D15))</f>
        <v>94.218423028672447</v>
      </c>
      <c r="E16" s="8">
        <f>+$C13/((1+$C$5/E15)^($C$6*E15))</f>
        <v>94.197540064698657</v>
      </c>
      <c r="F16" s="8">
        <f>+$C13/((1+$C$5/F15)^($C$6*F15))</f>
        <v>94.183505106396098</v>
      </c>
      <c r="G16" s="8">
        <f>+$C13/((1+$C$5/G15)^($C$6*G15))</f>
        <v>94.176688786769745</v>
      </c>
      <c r="H16" s="8">
        <f>+$C13*EXP(-$C$5*$C$6)</f>
        <v>94.176453358424865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brpt_mit_zins</vt:lpstr>
      <vt:lpstr>zins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wschmid</dc:creator>
  <cp:lastModifiedBy>wsc</cp:lastModifiedBy>
  <dcterms:created xsi:type="dcterms:W3CDTF">2009-04-16T16:49:03Z</dcterms:created>
  <dcterms:modified xsi:type="dcterms:W3CDTF">2015-03-10T07:28:55Z</dcterms:modified>
</cp:coreProperties>
</file>